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115" windowHeight="6465"/>
  </bookViews>
  <sheets>
    <sheet name="DISC Comm. Comps&amp;JEs" sheetId="1" r:id="rId1"/>
    <sheet name="DISC WTB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7" i="2"/>
  <c r="K18"/>
  <c r="L23"/>
  <c r="L27"/>
  <c r="L25"/>
  <c r="K12"/>
  <c r="I31"/>
  <c r="G31"/>
  <c r="F31"/>
  <c r="D31"/>
  <c r="M21"/>
  <c r="M31" s="1"/>
  <c r="C19"/>
  <c r="B19"/>
  <c r="K14"/>
  <c r="K5"/>
  <c r="K19" l="1"/>
  <c r="K10"/>
  <c r="L29"/>
  <c r="L31" s="1"/>
  <c r="F37" i="1"/>
  <c r="J37"/>
  <c r="R7"/>
  <c r="K51"/>
  <c r="K50"/>
  <c r="K52"/>
  <c r="J43"/>
  <c r="G54"/>
  <c r="H51"/>
  <c r="G51"/>
  <c r="I51" s="1"/>
  <c r="H50"/>
  <c r="I50" s="1"/>
  <c r="J29"/>
  <c r="H29"/>
  <c r="K27"/>
  <c r="F27"/>
  <c r="K26"/>
  <c r="F26"/>
  <c r="F29" s="1"/>
  <c r="K25"/>
  <c r="L24"/>
  <c r="L29" s="1"/>
  <c r="L31" s="1"/>
  <c r="K23"/>
  <c r="K29" s="1"/>
  <c r="K19"/>
  <c r="K16"/>
  <c r="F15"/>
  <c r="F17" s="1"/>
  <c r="H11"/>
  <c r="F11"/>
  <c r="P11"/>
  <c r="P12" s="1"/>
  <c r="J10"/>
  <c r="J9"/>
  <c r="J11" s="1"/>
  <c r="P8"/>
  <c r="P7"/>
  <c r="P13" s="1"/>
  <c r="P14" s="1"/>
  <c r="H52" l="1"/>
  <c r="H54" s="1"/>
  <c r="I54" s="1"/>
  <c r="J41"/>
  <c r="J45" s="1"/>
  <c r="P16" s="1"/>
  <c r="J14"/>
  <c r="H14" s="1"/>
  <c r="H15" s="1"/>
  <c r="K30"/>
  <c r="P17"/>
  <c r="P19" s="1"/>
  <c r="F33"/>
  <c r="I52"/>
  <c r="J51" s="1"/>
  <c r="H31" s="1"/>
  <c r="J50"/>
  <c r="H30" l="1"/>
  <c r="H32" s="1"/>
  <c r="H33" s="1"/>
  <c r="J15"/>
  <c r="F36"/>
  <c r="F38"/>
  <c r="J38" s="1"/>
  <c r="J52"/>
  <c r="J31"/>
  <c r="J30" l="1"/>
  <c r="J32" s="1"/>
  <c r="J33" s="1"/>
  <c r="J36" s="1"/>
  <c r="J39" s="1"/>
  <c r="J40" s="1"/>
  <c r="F40"/>
</calcChain>
</file>

<file path=xl/sharedStrings.xml><?xml version="1.0" encoding="utf-8"?>
<sst xmlns="http://schemas.openxmlformats.org/spreadsheetml/2006/main" count="220" uniqueCount="168">
  <si>
    <t>TIN</t>
  </si>
  <si>
    <t>Schedule 1</t>
  </si>
  <si>
    <t>Combined Taxable Income &amp; Allowable IC-DISC Commissiom</t>
  </si>
  <si>
    <t>Calendar Year 2012</t>
  </si>
  <si>
    <t>YE Estimate</t>
  </si>
  <si>
    <t>Overhead for Apportionment</t>
  </si>
  <si>
    <r>
      <rPr>
        <b/>
        <sz val="9"/>
        <color theme="1"/>
        <rFont val="Calibri"/>
        <family val="2"/>
        <scheme val="minor"/>
      </rPr>
      <t xml:space="preserve">      </t>
    </r>
    <r>
      <rPr>
        <b/>
        <u/>
        <sz val="9"/>
        <color theme="1"/>
        <rFont val="Calibri"/>
        <family val="2"/>
        <scheme val="minor"/>
      </rPr>
      <t>Apportioned based on:</t>
    </r>
  </si>
  <si>
    <t>Est Glbl Net Inc</t>
  </si>
  <si>
    <t>Gross Income:</t>
  </si>
  <si>
    <t>Gross Income</t>
  </si>
  <si>
    <t>Asset Method</t>
  </si>
  <si>
    <t xml:space="preserve"> Est Export NI</t>
  </si>
  <si>
    <t>Gross Sales</t>
  </si>
  <si>
    <t xml:space="preserve"> </t>
  </si>
  <si>
    <t>DISC Expenses</t>
  </si>
  <si>
    <t xml:space="preserve">      Sales Discounts</t>
  </si>
  <si>
    <t>Est CTI</t>
  </si>
  <si>
    <t>Gross Receipts</t>
  </si>
  <si>
    <t>50% CTI</t>
  </si>
  <si>
    <t xml:space="preserve">    Direct Costs</t>
  </si>
  <si>
    <t>Greater:</t>
  </si>
  <si>
    <t xml:space="preserve">    Indirect Costs</t>
  </si>
  <si>
    <t>w/DISC Exps</t>
  </si>
  <si>
    <t>Cost of Sales</t>
  </si>
  <si>
    <t>Other Income</t>
  </si>
  <si>
    <t>Adj Required</t>
  </si>
  <si>
    <t>Dr Dividend/Cr Commission Exp.</t>
  </si>
  <si>
    <t>Gross Profit</t>
  </si>
  <si>
    <t>Deductions:</t>
  </si>
  <si>
    <t>Dr. Comm Income/Cr Dividends Paid</t>
  </si>
  <si>
    <t>Salaries &amp; Wages</t>
  </si>
  <si>
    <t>Bad Debts</t>
  </si>
  <si>
    <t>Taxes &amp; Lcenses</t>
  </si>
  <si>
    <t>Interest</t>
  </si>
  <si>
    <t>Depreciation</t>
  </si>
  <si>
    <t>Employee Benefit Programs</t>
  </si>
  <si>
    <t>Other Deductions:</t>
  </si>
  <si>
    <t>Total deductions</t>
  </si>
  <si>
    <t>Apportion Overhead-Using Gross Income</t>
  </si>
  <si>
    <t>Interest Expense Apportionment:</t>
  </si>
  <si>
    <t>Taxable Income Before IC DISC and DPAD</t>
  </si>
  <si>
    <t>(A)</t>
  </si>
  <si>
    <t xml:space="preserve">           EOY        </t>
  </si>
  <si>
    <t xml:space="preserve">      BOY       </t>
  </si>
  <si>
    <t xml:space="preserve">    Total      </t>
  </si>
  <si>
    <t>IC-Disc's own Expenses-Professional fees</t>
  </si>
  <si>
    <t>Customer A/Rs</t>
  </si>
  <si>
    <t>Combined Taxable Income Before DPAD</t>
  </si>
  <si>
    <t xml:space="preserve">              Total</t>
  </si>
  <si>
    <t xml:space="preserve">  Tentative DPAD @ .09%</t>
  </si>
  <si>
    <t>(783,678-635,440)*.09</t>
  </si>
  <si>
    <t>(B)</t>
  </si>
  <si>
    <t>4% of Qualified Gross Receipts:</t>
  </si>
  <si>
    <t>(C )</t>
  </si>
  <si>
    <t>CTI</t>
  </si>
  <si>
    <t>Adj Taxable income After DISC &amp; DPAD:</t>
  </si>
  <si>
    <t>(A)-(B)-(C )</t>
  </si>
  <si>
    <t>50% x CTI</t>
  </si>
  <si>
    <t>Greater of:</t>
  </si>
  <si>
    <t>4% Gross :</t>
  </si>
  <si>
    <t>Add ICDISC's</t>
  </si>
  <si>
    <t xml:space="preserve">   Own Exps.:</t>
  </si>
  <si>
    <t>Gross Comm.</t>
  </si>
  <si>
    <t xml:space="preserve">   Allowable:</t>
  </si>
  <si>
    <t>XYZ Company DISC</t>
  </si>
  <si>
    <t>&amp; XYZ Co MFG</t>
  </si>
  <si>
    <t>XX-XXXXXXX</t>
  </si>
  <si>
    <t>XX-XXXXXXXX</t>
  </si>
  <si>
    <t xml:space="preserve"> XYZ MFG Co Books</t>
  </si>
  <si>
    <t>XYZ DISC Books</t>
  </si>
  <si>
    <t>Attachment to Form 1120-IC-DISC Return</t>
  </si>
  <si>
    <t xml:space="preserve">    Domestic</t>
  </si>
  <si>
    <t>Qualif. Export</t>
  </si>
  <si>
    <t>-Using Asset Method (Below)</t>
  </si>
  <si>
    <t>Asset Method:</t>
  </si>
  <si>
    <t>Ratio-</t>
  </si>
  <si>
    <t>Allocation:</t>
  </si>
  <si>
    <r>
      <rPr>
        <b/>
        <sz val="10"/>
        <color theme="1"/>
        <rFont val="Calibri"/>
        <family val="2"/>
        <scheme val="minor"/>
      </rPr>
      <t xml:space="preserve">       </t>
    </r>
    <r>
      <rPr>
        <b/>
        <u/>
        <sz val="10"/>
        <color theme="1"/>
        <rFont val="Calibri"/>
        <family val="2"/>
        <scheme val="minor"/>
      </rPr>
      <t xml:space="preserve">Global </t>
    </r>
  </si>
  <si>
    <r>
      <rPr>
        <b/>
        <sz val="11"/>
        <color theme="1"/>
        <rFont val="Calibri"/>
        <family val="2"/>
        <scheme val="minor"/>
      </rPr>
      <t xml:space="preserve">    </t>
    </r>
    <r>
      <rPr>
        <b/>
        <u/>
        <sz val="11"/>
        <color theme="1"/>
        <rFont val="Calibri"/>
        <family val="2"/>
        <scheme val="minor"/>
      </rPr>
      <t>Domestic</t>
    </r>
  </si>
  <si>
    <r>
      <rPr>
        <b/>
        <sz val="11"/>
        <color theme="1"/>
        <rFont val="Calibri"/>
        <family val="2"/>
        <scheme val="minor"/>
      </rPr>
      <t xml:space="preserve">         </t>
    </r>
    <r>
      <rPr>
        <b/>
        <u/>
        <sz val="11"/>
        <color theme="1"/>
        <rFont val="Calibri"/>
        <family val="2"/>
        <scheme val="minor"/>
      </rPr>
      <t>Only</t>
    </r>
  </si>
  <si>
    <r>
      <rPr>
        <b/>
        <sz val="11"/>
        <color theme="1"/>
        <rFont val="Calibri"/>
        <family val="2"/>
        <scheme val="minor"/>
      </rPr>
      <t xml:space="preserve">  </t>
    </r>
    <r>
      <rPr>
        <b/>
        <u/>
        <sz val="11"/>
        <color theme="1"/>
        <rFont val="Calibri"/>
        <family val="2"/>
        <scheme val="minor"/>
      </rPr>
      <t>Qualified</t>
    </r>
  </si>
  <si>
    <t xml:space="preserve"> Export Only</t>
  </si>
  <si>
    <t>Gross Inc Method</t>
  </si>
  <si>
    <t>Using 11 Mo F/S x 12/11</t>
  </si>
  <si>
    <t>Journal Entries:</t>
  </si>
  <si>
    <t>DISC Books:</t>
  </si>
  <si>
    <t xml:space="preserve">    Dr.</t>
  </si>
  <si>
    <t xml:space="preserve">        Cr.</t>
  </si>
  <si>
    <t xml:space="preserve">     DISC Expenses-</t>
  </si>
  <si>
    <t>DISC Commission Income</t>
  </si>
  <si>
    <t xml:space="preserve">      Interco Receivable-XYZMfg Co</t>
  </si>
  <si>
    <t>DISC Commission Expense</t>
  </si>
  <si>
    <t>No Entry</t>
  </si>
  <si>
    <t xml:space="preserve">        Interco Payable-IC-DISC</t>
  </si>
  <si>
    <t xml:space="preserve">                                         Parent's Books:</t>
  </si>
  <si>
    <t xml:space="preserve">       Cash (or Interco payable-IC-DISC)</t>
  </si>
  <si>
    <t>Cash (or Interco Payable IC-DISC)</t>
  </si>
  <si>
    <t xml:space="preserve">          Dividend Income-Qualified</t>
  </si>
  <si>
    <t>Dividend Income-Qualified</t>
  </si>
  <si>
    <t xml:space="preserve">            DISC Commission expense</t>
  </si>
  <si>
    <t xml:space="preserve">                                                                              1) DISC's own expenses paid during year -e.g., Acctg, Rep Fee &amp; Franchise taxes</t>
  </si>
  <si>
    <t xml:space="preserve">                                                                              2)   Y/E Est DISC Commission</t>
  </si>
  <si>
    <t xml:space="preserve">                                                                              3) Declare/Pay DISC Dividend Dividend</t>
  </si>
  <si>
    <r>
      <t xml:space="preserve">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Note:  Routine P&amp;L Closing Entries Omitted</t>
    </r>
  </si>
  <si>
    <t>by IC-DISC.</t>
  </si>
  <si>
    <t xml:space="preserve">   -Marginal Costing (OPPL) Does Not Appy</t>
  </si>
  <si>
    <r>
      <rPr>
        <b/>
        <sz val="11"/>
        <color theme="1"/>
        <rFont val="Calibri"/>
        <family val="2"/>
        <scheme val="minor"/>
      </rPr>
      <t xml:space="preserve">   </t>
    </r>
    <r>
      <rPr>
        <b/>
        <u/>
        <sz val="11"/>
        <color theme="1"/>
        <rFont val="Calibri"/>
        <family val="2"/>
        <scheme val="minor"/>
      </rPr>
      <t>Assumptions:</t>
    </r>
  </si>
  <si>
    <r>
      <t xml:space="preserve">    </t>
    </r>
    <r>
      <rPr>
        <i/>
        <sz val="11"/>
        <color theme="1"/>
        <rFont val="Calibri"/>
        <family val="2"/>
      </rPr>
      <t>-</t>
    </r>
    <r>
      <rPr>
        <i/>
        <sz val="11"/>
        <color theme="1"/>
        <rFont val="Calibri"/>
        <family val="2"/>
        <scheme val="minor"/>
      </rPr>
      <t>Parent "related supplier" is an S Corp.</t>
    </r>
  </si>
  <si>
    <r>
      <t xml:space="preserve">    -No "Export Promotion" Exps. </t>
    </r>
    <r>
      <rPr>
        <i/>
        <u/>
        <sz val="11"/>
        <color theme="1"/>
        <rFont val="Calibri"/>
        <family val="2"/>
        <scheme val="minor"/>
      </rPr>
      <t xml:space="preserve">incurred </t>
    </r>
  </si>
  <si>
    <r>
      <rPr>
        <i/>
        <sz val="11"/>
        <color theme="1"/>
        <rFont val="Calibri"/>
        <family val="2"/>
        <scheme val="minor"/>
      </rPr>
      <t xml:space="preserve">       </t>
    </r>
    <r>
      <rPr>
        <i/>
        <u/>
        <sz val="11"/>
        <color theme="1"/>
        <rFont val="Calibri"/>
        <family val="2"/>
        <scheme val="minor"/>
      </rPr>
      <t>by the IC-DISC.</t>
    </r>
  </si>
  <si>
    <t xml:space="preserve">     Net-to-Gross % (for OPPL)</t>
  </si>
  <si>
    <t>Combined Taxable Income &amp; Allowable IC-DISC Commission</t>
  </si>
  <si>
    <t>Estimated  Qualified Export Receipts</t>
  </si>
  <si>
    <t>4% gross receipts</t>
  </si>
  <si>
    <t>Working Trial Balance</t>
  </si>
  <si>
    <t>Y/E 12/31/12</t>
  </si>
  <si>
    <t xml:space="preserve">   12/31/2012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</si>
  <si>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Dr</t>
    </r>
  </si>
  <si>
    <r>
      <rPr>
        <b/>
        <sz val="10"/>
        <rFont val="Arial"/>
        <family val="2"/>
      </rPr>
      <t xml:space="preserve">     </t>
    </r>
    <r>
      <rPr>
        <b/>
        <u/>
        <sz val="10"/>
        <rFont val="Arial"/>
        <family val="2"/>
      </rPr>
      <t>CR</t>
    </r>
  </si>
  <si>
    <r>
      <rPr>
        <b/>
        <sz val="10"/>
        <rFont val="Arial"/>
        <family val="2"/>
      </rPr>
      <t xml:space="preserve">     </t>
    </r>
    <r>
      <rPr>
        <b/>
        <u/>
        <sz val="10"/>
        <rFont val="Arial"/>
        <family val="2"/>
      </rPr>
      <t>DR</t>
    </r>
  </si>
  <si>
    <r>
      <rPr>
        <b/>
        <sz val="10"/>
        <rFont val="Arial"/>
        <family val="2"/>
      </rPr>
      <t xml:space="preserve">    </t>
    </r>
    <r>
      <rPr>
        <b/>
        <u/>
        <sz val="10"/>
        <rFont val="Arial"/>
        <family val="2"/>
      </rPr>
      <t>CR</t>
    </r>
  </si>
  <si>
    <t>DR.</t>
  </si>
  <si>
    <t>AJE#</t>
  </si>
  <si>
    <t>Cash In Bank</t>
  </si>
  <si>
    <t>(1)&amp;(3)</t>
  </si>
  <si>
    <t>(2)</t>
  </si>
  <si>
    <t>(3)</t>
  </si>
  <si>
    <t>Common Stock</t>
  </si>
  <si>
    <t>Ret. Earnings-Accum DISC Income</t>
  </si>
  <si>
    <t>___________</t>
  </si>
  <si>
    <t>(1)</t>
  </si>
  <si>
    <t>Bank Charges</t>
  </si>
  <si>
    <t>Professional Fees</t>
  </si>
  <si>
    <t>Taxes &amp; Licenses</t>
  </si>
  <si>
    <t>Profit &amp; Loss Summary</t>
  </si>
  <si>
    <t>____________</t>
  </si>
  <si>
    <t xml:space="preserve">       12/31/11 Balances    </t>
  </si>
  <si>
    <r>
      <t xml:space="preserve">        </t>
    </r>
    <r>
      <rPr>
        <b/>
        <u/>
        <sz val="10"/>
        <rFont val="Arial"/>
        <family val="2"/>
      </rPr>
      <t>2012 Cash Activity</t>
    </r>
  </si>
  <si>
    <t>BalanceSheet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</si>
  <si>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Income Statement</t>
    </r>
  </si>
  <si>
    <t xml:space="preserve">                2012 AJEs               </t>
  </si>
  <si>
    <t>XYC Company DISC, Inc.</t>
  </si>
  <si>
    <t>Accounts Rec-Other</t>
  </si>
  <si>
    <r>
      <t>Accts. Rec. XYC Co Mfg-</t>
    </r>
    <r>
      <rPr>
        <b/>
        <sz val="9"/>
        <rFont val="Arial"/>
        <family val="2"/>
      </rPr>
      <t xml:space="preserve">Related </t>
    </r>
  </si>
  <si>
    <r>
      <t xml:space="preserve">                                                </t>
    </r>
    <r>
      <rPr>
        <b/>
        <sz val="11"/>
        <color theme="1"/>
        <rFont val="Calibri"/>
        <family val="2"/>
        <scheme val="minor"/>
      </rPr>
      <t>Supplier</t>
    </r>
  </si>
  <si>
    <t xml:space="preserve">Acct Payable-XYZ Co Mfg- Related </t>
  </si>
  <si>
    <t xml:space="preserve">                                                Supplier</t>
  </si>
  <si>
    <t>Accounts Payable-Other</t>
  </si>
  <si>
    <t>-</t>
  </si>
  <si>
    <t xml:space="preserve"> (1)</t>
  </si>
  <si>
    <t>(4)</t>
  </si>
  <si>
    <t>(1)&amp;(2)</t>
  </si>
  <si>
    <t>(1)&amp;(4)</t>
  </si>
  <si>
    <t>(X)</t>
  </si>
  <si>
    <t>(x)</t>
  </si>
  <si>
    <t>)</t>
  </si>
  <si>
    <t>(Y)</t>
  </si>
  <si>
    <t xml:space="preserve">                  4)</t>
  </si>
  <si>
    <t>Adjust Commission &amp; Dividend to Final Calculated Amounts</t>
  </si>
  <si>
    <t xml:space="preserve">     Cash (or Interco Rec-XYZ Mfg Co)</t>
  </si>
  <si>
    <t xml:space="preserve">                        Cash </t>
  </si>
  <si>
    <t xml:space="preserve">                        DISC Commission Income</t>
  </si>
  <si>
    <t xml:space="preserve">      Retained Earnings</t>
  </si>
  <si>
    <t xml:space="preserve">      DISC Commission Income</t>
  </si>
  <si>
    <t>Retained Earnings</t>
  </si>
  <si>
    <t>X= To close P&amp;L to Retained Earnings</t>
  </si>
  <si>
    <t>Y=Net receivable and payable to same party-Related Supplier</t>
  </si>
  <si>
    <t xml:space="preserve">Final: (As calculated above) 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</si>
</sst>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000"/>
    <numFmt numFmtId="167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2" applyNumberFormat="1" applyFont="1"/>
    <xf numFmtId="0" fontId="8" fillId="0" borderId="0" xfId="0" applyFont="1"/>
    <xf numFmtId="165" fontId="10" fillId="0" borderId="0" xfId="0" applyNumberFormat="1" applyFont="1"/>
    <xf numFmtId="4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5" fontId="1" fillId="0" borderId="0" xfId="1" applyNumberFormat="1" applyFont="1"/>
    <xf numFmtId="165" fontId="10" fillId="0" borderId="0" xfId="1" applyNumberFormat="1" applyFont="1"/>
    <xf numFmtId="165" fontId="4" fillId="0" borderId="0" xfId="1" applyNumberFormat="1" applyFont="1"/>
    <xf numFmtId="165" fontId="4" fillId="0" borderId="0" xfId="0" applyNumberFormat="1" applyFont="1"/>
    <xf numFmtId="165" fontId="0" fillId="0" borderId="0" xfId="0" applyNumberFormat="1" applyFont="1"/>
    <xf numFmtId="164" fontId="10" fillId="0" borderId="0" xfId="2" applyNumberFormat="1" applyFont="1"/>
    <xf numFmtId="0" fontId="10" fillId="0" borderId="0" xfId="0" applyFont="1"/>
    <xf numFmtId="164" fontId="10" fillId="0" borderId="0" xfId="0" applyNumberFormat="1" applyFont="1"/>
    <xf numFmtId="165" fontId="6" fillId="0" borderId="0" xfId="1" applyNumberFormat="1" applyFont="1"/>
    <xf numFmtId="164" fontId="0" fillId="0" borderId="0" xfId="0" applyNumberFormat="1"/>
    <xf numFmtId="164" fontId="11" fillId="0" borderId="0" xfId="2" applyNumberFormat="1" applyFont="1"/>
    <xf numFmtId="0" fontId="0" fillId="0" borderId="0" xfId="0" quotePrefix="1"/>
    <xf numFmtId="43" fontId="0" fillId="0" borderId="0" xfId="1" applyFont="1"/>
    <xf numFmtId="164" fontId="0" fillId="0" borderId="0" xfId="0" applyNumberFormat="1" applyFont="1"/>
    <xf numFmtId="0" fontId="4" fillId="0" borderId="0" xfId="0" applyNumberFormat="1" applyFont="1"/>
    <xf numFmtId="166" fontId="4" fillId="0" borderId="0" xfId="0" applyNumberFormat="1" applyFont="1"/>
    <xf numFmtId="43" fontId="10" fillId="0" borderId="0" xfId="0" applyNumberFormat="1" applyFont="1"/>
    <xf numFmtId="165" fontId="12" fillId="0" borderId="0" xfId="0" applyNumberFormat="1" applyFont="1"/>
    <xf numFmtId="164" fontId="2" fillId="0" borderId="0" xfId="2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164" fontId="0" fillId="0" borderId="0" xfId="2" applyNumberFormat="1" applyFont="1"/>
    <xf numFmtId="0" fontId="19" fillId="0" borderId="0" xfId="0" applyFont="1"/>
    <xf numFmtId="167" fontId="0" fillId="0" borderId="0" xfId="3" applyNumberFormat="1" applyFont="1"/>
    <xf numFmtId="0" fontId="20" fillId="0" borderId="0" xfId="0" applyFont="1"/>
    <xf numFmtId="0" fontId="21" fillId="0" borderId="0" xfId="0" applyFont="1"/>
    <xf numFmtId="14" fontId="20" fillId="0" borderId="0" xfId="0" quotePrefix="1" applyNumberFormat="1" applyFont="1"/>
    <xf numFmtId="0" fontId="22" fillId="0" borderId="0" xfId="0" applyFont="1"/>
    <xf numFmtId="44" fontId="20" fillId="0" borderId="0" xfId="2" applyFont="1"/>
    <xf numFmtId="43" fontId="23" fillId="0" borderId="0" xfId="1" quotePrefix="1" applyFont="1"/>
    <xf numFmtId="43" fontId="23" fillId="0" borderId="0" xfId="1" applyFont="1"/>
    <xf numFmtId="44" fontId="24" fillId="0" borderId="0" xfId="0" applyNumberFormat="1" applyFont="1"/>
    <xf numFmtId="43" fontId="25" fillId="0" borderId="0" xfId="1" quotePrefix="1" applyFont="1"/>
    <xf numFmtId="43" fontId="20" fillId="0" borderId="0" xfId="1" applyFont="1"/>
    <xf numFmtId="0" fontId="26" fillId="0" borderId="0" xfId="0" applyFont="1"/>
    <xf numFmtId="43" fontId="27" fillId="0" borderId="0" xfId="1" applyFont="1"/>
    <xf numFmtId="43" fontId="24" fillId="0" borderId="0" xfId="0" applyNumberFormat="1" applyFont="1"/>
    <xf numFmtId="44" fontId="24" fillId="0" borderId="0" xfId="2" applyFont="1"/>
    <xf numFmtId="2" fontId="0" fillId="0" borderId="0" xfId="0" applyNumberFormat="1"/>
    <xf numFmtId="0" fontId="23" fillId="0" borderId="0" xfId="0" applyFont="1"/>
    <xf numFmtId="0" fontId="24" fillId="0" borderId="0" xfId="0" applyFont="1"/>
    <xf numFmtId="43" fontId="24" fillId="0" borderId="0" xfId="1" applyFont="1"/>
    <xf numFmtId="43" fontId="23" fillId="0" borderId="0" xfId="0" applyNumberFormat="1" applyFont="1"/>
    <xf numFmtId="43" fontId="0" fillId="0" borderId="0" xfId="1" quotePrefix="1" applyFont="1"/>
    <xf numFmtId="43" fontId="21" fillId="0" borderId="0" xfId="1" applyFont="1"/>
    <xf numFmtId="43" fontId="25" fillId="0" borderId="0" xfId="1" applyFont="1"/>
    <xf numFmtId="43" fontId="29" fillId="0" borderId="0" xfId="1" applyFont="1"/>
    <xf numFmtId="43" fontId="30" fillId="0" borderId="0" xfId="0" applyNumberFormat="1" applyFont="1"/>
    <xf numFmtId="43" fontId="28" fillId="0" borderId="0" xfId="1" quotePrefix="1" applyFont="1"/>
    <xf numFmtId="164" fontId="17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tabSelected="1" topLeftCell="I5" workbookViewId="0">
      <selection activeCell="T14" sqref="T14"/>
    </sheetView>
  </sheetViews>
  <sheetFormatPr defaultRowHeight="15"/>
  <cols>
    <col min="6" max="6" width="12.5703125" bestFit="1" customWidth="1"/>
    <col min="7" max="7" width="10.5703125" bestFit="1" customWidth="1"/>
    <col min="8" max="8" width="13.28515625" customWidth="1"/>
    <col min="9" max="9" width="10.5703125" bestFit="1" customWidth="1"/>
    <col min="10" max="10" width="11.5703125" bestFit="1" customWidth="1"/>
    <col min="11" max="11" width="13.7109375" bestFit="1" customWidth="1"/>
    <col min="12" max="12" width="11.28515625" bestFit="1" customWidth="1"/>
    <col min="13" max="13" width="13.28515625" bestFit="1" customWidth="1"/>
    <col min="14" max="14" width="10.5703125" bestFit="1" customWidth="1"/>
    <col min="15" max="15" width="14.42578125" bestFit="1" customWidth="1"/>
    <col min="16" max="16" width="10" bestFit="1" customWidth="1"/>
    <col min="17" max="17" width="12.5703125" bestFit="1" customWidth="1"/>
    <col min="18" max="18" width="15.28515625" bestFit="1" customWidth="1"/>
    <col min="23" max="24" width="10.5703125" bestFit="1" customWidth="1"/>
    <col min="25" max="25" width="12.5703125" bestFit="1" customWidth="1"/>
  </cols>
  <sheetData>
    <row r="1" spans="1:19">
      <c r="A1" s="1" t="s">
        <v>64</v>
      </c>
      <c r="B1" s="1"/>
      <c r="C1" s="1"/>
      <c r="I1" s="1" t="s">
        <v>0</v>
      </c>
      <c r="J1" s="33" t="s">
        <v>66</v>
      </c>
      <c r="L1" s="1" t="s">
        <v>1</v>
      </c>
      <c r="Q1" s="1" t="s">
        <v>64</v>
      </c>
      <c r="R1" s="1"/>
      <c r="S1" s="1"/>
    </row>
    <row r="2" spans="1:19">
      <c r="A2" s="1" t="s">
        <v>65</v>
      </c>
      <c r="B2" s="1"/>
      <c r="C2" s="1"/>
      <c r="I2" s="1" t="s">
        <v>0</v>
      </c>
      <c r="J2" s="33" t="s">
        <v>67</v>
      </c>
      <c r="Q2" s="1" t="s">
        <v>65</v>
      </c>
      <c r="R2" s="1"/>
      <c r="S2" s="1"/>
    </row>
    <row r="3" spans="1:19">
      <c r="A3" s="1" t="s">
        <v>2</v>
      </c>
      <c r="J3" s="1" t="s">
        <v>70</v>
      </c>
      <c r="Q3" s="1" t="s">
        <v>111</v>
      </c>
    </row>
    <row r="4" spans="1:19">
      <c r="A4" s="1" t="s">
        <v>3</v>
      </c>
      <c r="Q4" s="1" t="s">
        <v>3</v>
      </c>
    </row>
    <row r="5" spans="1:19">
      <c r="F5" s="2"/>
    </row>
    <row r="6" spans="1:19">
      <c r="F6" s="1" t="s">
        <v>13</v>
      </c>
      <c r="H6" s="2" t="s">
        <v>78</v>
      </c>
      <c r="I6" s="3"/>
      <c r="J6" s="2" t="s">
        <v>80</v>
      </c>
      <c r="K6" s="4" t="s">
        <v>5</v>
      </c>
      <c r="L6" s="3"/>
      <c r="O6" s="2" t="s">
        <v>4</v>
      </c>
      <c r="R6" s="2" t="s">
        <v>112</v>
      </c>
    </row>
    <row r="7" spans="1:19" ht="16.5">
      <c r="F7" s="4" t="s">
        <v>77</v>
      </c>
      <c r="G7" s="2"/>
      <c r="H7" s="2" t="s">
        <v>79</v>
      </c>
      <c r="J7" s="2" t="s">
        <v>81</v>
      </c>
      <c r="K7" s="7" t="s">
        <v>6</v>
      </c>
      <c r="O7" s="5" t="s">
        <v>113</v>
      </c>
      <c r="P7" s="6">
        <f>15800000*0.04</f>
        <v>632000</v>
      </c>
      <c r="R7" s="35">
        <f>632000/0.04</f>
        <v>15800000</v>
      </c>
    </row>
    <row r="8" spans="1:19" ht="17.25">
      <c r="A8" s="1" t="s">
        <v>8</v>
      </c>
      <c r="K8" s="7" t="s">
        <v>82</v>
      </c>
      <c r="L8" s="7" t="s">
        <v>10</v>
      </c>
      <c r="O8" t="s">
        <v>7</v>
      </c>
      <c r="P8" s="8">
        <f>719978+4495+88127</f>
        <v>812600</v>
      </c>
      <c r="R8" t="s">
        <v>83</v>
      </c>
    </row>
    <row r="9" spans="1:19">
      <c r="A9" t="s">
        <v>12</v>
      </c>
      <c r="F9" s="10">
        <v>15858229</v>
      </c>
      <c r="H9" s="11">
        <v>84604</v>
      </c>
      <c r="J9" s="12">
        <f>F9-H9</f>
        <v>15773625</v>
      </c>
      <c r="K9" s="10" t="s">
        <v>13</v>
      </c>
      <c r="N9" s="11" t="s">
        <v>13</v>
      </c>
      <c r="O9" s="9" t="s">
        <v>11</v>
      </c>
      <c r="P9" s="10">
        <v>807724</v>
      </c>
    </row>
    <row r="10" spans="1:19" ht="17.25">
      <c r="A10" t="s">
        <v>15</v>
      </c>
      <c r="F10" s="14">
        <v>-928100</v>
      </c>
      <c r="H10" s="3">
        <v>0</v>
      </c>
      <c r="I10" s="3"/>
      <c r="J10" s="15">
        <f>F10</f>
        <v>-928100</v>
      </c>
      <c r="O10" t="s">
        <v>14</v>
      </c>
      <c r="P10" s="13">
        <v>4495</v>
      </c>
    </row>
    <row r="11" spans="1:19" ht="17.25">
      <c r="A11" t="s">
        <v>17</v>
      </c>
      <c r="F11" s="17">
        <f>F9+F10</f>
        <v>14930129</v>
      </c>
      <c r="H11" s="8">
        <f>H9+H10</f>
        <v>84604</v>
      </c>
      <c r="I11" s="18"/>
      <c r="J11" s="8">
        <f>SUM(J9+J10)</f>
        <v>14845525</v>
      </c>
      <c r="O11" t="s">
        <v>16</v>
      </c>
      <c r="P11" s="16">
        <f>P9-P10</f>
        <v>803229</v>
      </c>
    </row>
    <row r="12" spans="1:19" ht="17.25">
      <c r="A12" t="s">
        <v>19</v>
      </c>
      <c r="H12" s="10"/>
      <c r="J12" s="10" t="s">
        <v>13</v>
      </c>
      <c r="O12" t="s">
        <v>18</v>
      </c>
      <c r="P12" s="8">
        <f>0.5*P11</f>
        <v>401614.5</v>
      </c>
    </row>
    <row r="13" spans="1:19" ht="17.25">
      <c r="A13" t="s">
        <v>21</v>
      </c>
      <c r="H13" s="13">
        <v>0</v>
      </c>
      <c r="I13" s="18"/>
      <c r="J13" s="8">
        <v>0</v>
      </c>
      <c r="K13" s="8"/>
      <c r="O13" t="s">
        <v>20</v>
      </c>
      <c r="P13" s="19">
        <f>P7</f>
        <v>632000</v>
      </c>
    </row>
    <row r="14" spans="1:19" ht="17.25">
      <c r="A14" t="s">
        <v>23</v>
      </c>
      <c r="F14" s="13">
        <v>12379096</v>
      </c>
      <c r="H14" s="13">
        <f>F14-J14</f>
        <v>70148.15732563287</v>
      </c>
      <c r="I14" s="18"/>
      <c r="J14" s="8">
        <f>J11/F11*F14</f>
        <v>12308947.842674367</v>
      </c>
      <c r="O14" t="s">
        <v>22</v>
      </c>
      <c r="P14" s="13">
        <f>P10+P13</f>
        <v>636495</v>
      </c>
    </row>
    <row r="15" spans="1:19" ht="17.25">
      <c r="A15" t="s">
        <v>9</v>
      </c>
      <c r="F15" s="21">
        <f>F11-F14</f>
        <v>2551033</v>
      </c>
      <c r="H15" s="8">
        <f>H11-H14</f>
        <v>14455.84267436713</v>
      </c>
      <c r="I15" s="18"/>
      <c r="J15" s="8">
        <f>J11-J14</f>
        <v>2536577.1573256329</v>
      </c>
      <c r="O15" s="20" t="s">
        <v>13</v>
      </c>
      <c r="P15" s="11" t="s">
        <v>13</v>
      </c>
    </row>
    <row r="16" spans="1:19" ht="17.25">
      <c r="A16" t="s">
        <v>24</v>
      </c>
      <c r="F16" s="13">
        <v>20813</v>
      </c>
      <c r="K16" s="11">
        <f>-F16</f>
        <v>-20813</v>
      </c>
      <c r="N16" t="s">
        <v>167</v>
      </c>
      <c r="P16" s="13">
        <f>J45</f>
        <v>598316</v>
      </c>
      <c r="Q16" s="2" t="s">
        <v>68</v>
      </c>
    </row>
    <row r="17" spans="1:25" ht="17.25">
      <c r="A17" t="s">
        <v>27</v>
      </c>
      <c r="F17" s="19">
        <f>F15+F16</f>
        <v>2571846</v>
      </c>
      <c r="G17" t="s">
        <v>13</v>
      </c>
      <c r="J17" s="1"/>
      <c r="O17" s="1" t="s">
        <v>25</v>
      </c>
      <c r="P17" s="22">
        <f>P14-P16</f>
        <v>38179</v>
      </c>
      <c r="Q17" t="s">
        <v>26</v>
      </c>
    </row>
    <row r="18" spans="1:25">
      <c r="A18" s="1" t="s">
        <v>28</v>
      </c>
      <c r="Q18" s="2" t="s">
        <v>69</v>
      </c>
    </row>
    <row r="19" spans="1:25" ht="17.25">
      <c r="A19" t="s">
        <v>30</v>
      </c>
      <c r="F19" s="10">
        <v>673777</v>
      </c>
      <c r="G19" s="10" t="s">
        <v>13</v>
      </c>
      <c r="H19" s="10"/>
      <c r="I19" s="10"/>
      <c r="J19" s="10"/>
      <c r="K19" s="10">
        <f>F19</f>
        <v>673777</v>
      </c>
      <c r="P19" s="22">
        <f>P17</f>
        <v>38179</v>
      </c>
      <c r="Q19" t="s">
        <v>29</v>
      </c>
    </row>
    <row r="20" spans="1:25">
      <c r="F20" s="10"/>
      <c r="G20" s="10"/>
      <c r="H20" s="10"/>
      <c r="I20" s="10"/>
      <c r="J20" s="10"/>
      <c r="K20" s="10" t="s">
        <v>13</v>
      </c>
      <c r="L20" s="10"/>
    </row>
    <row r="21" spans="1:25" ht="17.25">
      <c r="A21" t="s">
        <v>31</v>
      </c>
      <c r="F21" s="10">
        <v>1023</v>
      </c>
      <c r="G21" s="10"/>
      <c r="H21" s="13">
        <v>1023</v>
      </c>
      <c r="I21" s="10"/>
      <c r="J21" s="10"/>
      <c r="K21" s="10"/>
      <c r="L21" s="10"/>
      <c r="O21" s="2" t="s">
        <v>84</v>
      </c>
      <c r="Q21" s="1" t="s">
        <v>85</v>
      </c>
      <c r="T21" s="1" t="s">
        <v>94</v>
      </c>
    </row>
    <row r="22" spans="1:25">
      <c r="F22" s="10"/>
      <c r="G22" s="10"/>
      <c r="H22" s="10"/>
      <c r="I22" s="10"/>
      <c r="J22" s="10"/>
      <c r="K22" s="10"/>
      <c r="L22" s="10"/>
      <c r="Q22" t="s">
        <v>86</v>
      </c>
      <c r="R22" s="1" t="s">
        <v>87</v>
      </c>
      <c r="X22" t="s">
        <v>86</v>
      </c>
      <c r="Y22" s="1" t="s">
        <v>87</v>
      </c>
    </row>
    <row r="23" spans="1:25">
      <c r="A23" t="s">
        <v>32</v>
      </c>
      <c r="F23" s="10">
        <v>6171</v>
      </c>
      <c r="G23" s="10"/>
      <c r="H23" s="10"/>
      <c r="I23" s="10"/>
      <c r="J23" s="10"/>
      <c r="K23" s="10">
        <f>F23</f>
        <v>6171</v>
      </c>
      <c r="L23" s="10"/>
    </row>
    <row r="24" spans="1:25" ht="17.25">
      <c r="A24" t="s">
        <v>33</v>
      </c>
      <c r="F24" s="10">
        <v>195017</v>
      </c>
      <c r="G24" s="10"/>
      <c r="H24" s="10"/>
      <c r="I24" s="10"/>
      <c r="J24" s="10"/>
      <c r="L24" s="13">
        <f>F24</f>
        <v>195017</v>
      </c>
      <c r="N24" s="34" t="s">
        <v>100</v>
      </c>
      <c r="T24" s="35"/>
      <c r="X24" s="35"/>
      <c r="Y24" s="35"/>
    </row>
    <row r="25" spans="1:25">
      <c r="A25" t="s">
        <v>34</v>
      </c>
      <c r="F25" s="10">
        <v>315753</v>
      </c>
      <c r="G25" s="10" t="s">
        <v>13</v>
      </c>
      <c r="H25" s="10"/>
      <c r="I25" s="10"/>
      <c r="J25" s="10"/>
      <c r="K25" s="10">
        <f>F25</f>
        <v>315753</v>
      </c>
      <c r="L25" s="10"/>
      <c r="N25" t="s">
        <v>88</v>
      </c>
      <c r="Q25" s="35">
        <v>4495</v>
      </c>
      <c r="R25" s="35"/>
      <c r="S25" s="35"/>
      <c r="T25" s="35" t="s">
        <v>92</v>
      </c>
      <c r="X25" s="35"/>
      <c r="Y25" s="35"/>
    </row>
    <row r="26" spans="1:25">
      <c r="A26" t="s">
        <v>35</v>
      </c>
      <c r="F26" s="10">
        <f>78025+42196</f>
        <v>120221</v>
      </c>
      <c r="G26" s="10"/>
      <c r="H26" s="10"/>
      <c r="I26" s="10"/>
      <c r="J26" s="10"/>
      <c r="K26" s="10">
        <f>F26</f>
        <v>120221</v>
      </c>
      <c r="L26" s="10"/>
      <c r="N26" t="s">
        <v>160</v>
      </c>
      <c r="Q26" s="35"/>
      <c r="R26" s="35">
        <v>4495</v>
      </c>
      <c r="S26" s="35"/>
      <c r="T26" s="35"/>
      <c r="X26" s="35"/>
      <c r="Y26" s="35"/>
    </row>
    <row r="27" spans="1:25" ht="17.25">
      <c r="A27" t="s">
        <v>36</v>
      </c>
      <c r="F27" s="13">
        <f>476206</f>
        <v>476206</v>
      </c>
      <c r="H27" s="10"/>
      <c r="I27" s="10"/>
      <c r="J27" s="13">
        <v>0</v>
      </c>
      <c r="K27" s="13">
        <f>F27-J27</f>
        <v>476206</v>
      </c>
      <c r="L27" s="10"/>
      <c r="N27" t="s">
        <v>90</v>
      </c>
      <c r="Q27" s="35">
        <v>4495</v>
      </c>
      <c r="R27" s="35"/>
      <c r="S27" s="35"/>
      <c r="T27" s="35" t="s">
        <v>91</v>
      </c>
      <c r="X27" s="35">
        <v>4495</v>
      </c>
      <c r="Y27" s="35"/>
    </row>
    <row r="28" spans="1:25">
      <c r="D28" t="s">
        <v>104</v>
      </c>
      <c r="F28" s="10"/>
      <c r="G28" s="10"/>
      <c r="H28" s="10"/>
      <c r="I28" s="10"/>
      <c r="J28" s="10"/>
      <c r="K28" s="10"/>
      <c r="L28" s="10"/>
      <c r="O28" t="s">
        <v>89</v>
      </c>
      <c r="R28">
        <v>4495</v>
      </c>
      <c r="T28" t="s">
        <v>93</v>
      </c>
      <c r="X28" s="35"/>
      <c r="Y28" s="35">
        <v>4495</v>
      </c>
    </row>
    <row r="29" spans="1:25" ht="17.25">
      <c r="A29" t="s">
        <v>37</v>
      </c>
      <c r="F29" s="13">
        <f>SUM(F19:F27)</f>
        <v>1788168</v>
      </c>
      <c r="G29" s="10"/>
      <c r="H29" s="12">
        <f>SUM(H19:H27)</f>
        <v>1023</v>
      </c>
      <c r="I29" s="10"/>
      <c r="J29" s="10">
        <f>SUM(J19:J27)</f>
        <v>0</v>
      </c>
      <c r="K29" s="12">
        <f>SUM(K16:K27)</f>
        <v>1571315</v>
      </c>
      <c r="L29" s="12">
        <f>L24</f>
        <v>195017</v>
      </c>
      <c r="N29" s="34" t="s">
        <v>101</v>
      </c>
      <c r="W29" s="35"/>
      <c r="X29" s="35"/>
    </row>
    <row r="30" spans="1:25">
      <c r="A30" t="s">
        <v>38</v>
      </c>
      <c r="F30" s="10"/>
      <c r="G30" s="10"/>
      <c r="H30" s="10">
        <f>H15/F15*K29</f>
        <v>8904.1115625996172</v>
      </c>
      <c r="I30" s="10"/>
      <c r="J30" s="10">
        <f>K29*J15/F15</f>
        <v>1562410.8884374003</v>
      </c>
      <c r="K30" s="10">
        <f>-K29</f>
        <v>-1571315</v>
      </c>
      <c r="L30" s="10"/>
      <c r="N30" t="s">
        <v>159</v>
      </c>
      <c r="Q30" s="35">
        <v>632000</v>
      </c>
      <c r="R30" s="35"/>
      <c r="S30" s="35"/>
      <c r="T30" s="35" t="s">
        <v>91</v>
      </c>
      <c r="U30" s="35"/>
      <c r="V30" s="35"/>
      <c r="W30" s="35"/>
      <c r="X30" s="35">
        <v>632000</v>
      </c>
    </row>
    <row r="31" spans="1:25" ht="17.25">
      <c r="C31" s="23" t="s">
        <v>73</v>
      </c>
      <c r="H31" s="13">
        <f>-J51*L31</f>
        <v>6499.7823221162243</v>
      </c>
      <c r="I31" s="18"/>
      <c r="J31" s="13">
        <f>-L31*J50</f>
        <v>188517.21767788377</v>
      </c>
      <c r="K31" s="18"/>
      <c r="L31" s="8">
        <f>-L29</f>
        <v>-195017</v>
      </c>
      <c r="N31" t="s">
        <v>161</v>
      </c>
      <c r="Q31" s="35"/>
      <c r="R31" s="35">
        <v>632000</v>
      </c>
      <c r="S31" s="35"/>
      <c r="T31" s="35" t="s">
        <v>95</v>
      </c>
      <c r="U31" s="35"/>
      <c r="V31" s="35"/>
      <c r="W31" s="35"/>
      <c r="X31" s="35"/>
      <c r="Y31" s="35">
        <v>632000</v>
      </c>
    </row>
    <row r="32" spans="1:25" ht="17.25">
      <c r="D32" s="5" t="s">
        <v>13</v>
      </c>
      <c r="E32" s="10" t="s">
        <v>13</v>
      </c>
      <c r="H32" s="8">
        <f>SUM(H29+H30+H31)</f>
        <v>16426.893884715842</v>
      </c>
      <c r="J32" s="13">
        <f>J30+J31+J29</f>
        <v>1750928.1061152841</v>
      </c>
      <c r="N32" s="34" t="s">
        <v>102</v>
      </c>
      <c r="Q32" s="35"/>
      <c r="R32" s="35"/>
      <c r="S32" s="35"/>
      <c r="T32" s="35"/>
      <c r="U32" s="35"/>
      <c r="V32" s="35"/>
      <c r="W32" s="35"/>
      <c r="X32" s="35"/>
      <c r="Y32" s="35"/>
    </row>
    <row r="33" spans="1:25" ht="17.25">
      <c r="A33" t="s">
        <v>40</v>
      </c>
      <c r="E33" s="24" t="s">
        <v>13</v>
      </c>
      <c r="F33" s="25">
        <f>F17-F29</f>
        <v>783678</v>
      </c>
      <c r="G33" t="s">
        <v>41</v>
      </c>
      <c r="H33" s="8">
        <f>H15-H32</f>
        <v>-1971.0512103487126</v>
      </c>
      <c r="J33" s="16">
        <f>J15-J32</f>
        <v>785649.05121034873</v>
      </c>
      <c r="K33" s="2" t="s">
        <v>106</v>
      </c>
      <c r="N33" t="s">
        <v>162</v>
      </c>
      <c r="Q33" s="35">
        <v>632000</v>
      </c>
      <c r="R33" s="35"/>
      <c r="S33" s="35"/>
      <c r="T33" s="35" t="s">
        <v>96</v>
      </c>
      <c r="U33" s="35"/>
      <c r="V33" s="35"/>
      <c r="W33" s="35"/>
      <c r="X33" s="35">
        <v>632000</v>
      </c>
      <c r="Y33" s="35"/>
    </row>
    <row r="34" spans="1:25" ht="17.25">
      <c r="A34" t="s">
        <v>45</v>
      </c>
      <c r="E34" s="10" t="s">
        <v>13</v>
      </c>
      <c r="F34" s="13">
        <v>-4495</v>
      </c>
      <c r="K34" s="34" t="s">
        <v>107</v>
      </c>
      <c r="L34" s="34"/>
      <c r="M34" s="34"/>
      <c r="N34" t="s">
        <v>160</v>
      </c>
      <c r="Q34" s="35"/>
      <c r="R34" s="35">
        <v>632000</v>
      </c>
      <c r="S34" s="35"/>
      <c r="T34" s="35" t="s">
        <v>97</v>
      </c>
      <c r="U34" s="35"/>
      <c r="V34" s="35"/>
      <c r="W34" s="35"/>
      <c r="X34" s="35"/>
      <c r="Y34" s="35">
        <v>632000</v>
      </c>
    </row>
    <row r="35" spans="1:25" ht="17.25">
      <c r="A35" t="s">
        <v>13</v>
      </c>
      <c r="D35" t="s">
        <v>13</v>
      </c>
      <c r="E35" s="13"/>
      <c r="F35" t="s">
        <v>13</v>
      </c>
      <c r="J35" s="13">
        <v>4495</v>
      </c>
      <c r="K35" s="34"/>
      <c r="L35" s="34"/>
      <c r="M35" s="34"/>
      <c r="P35" t="s">
        <v>157</v>
      </c>
      <c r="Q35" s="63" t="s">
        <v>158</v>
      </c>
      <c r="R35" s="35"/>
      <c r="S35" s="35"/>
      <c r="T35" s="35"/>
      <c r="U35" s="35"/>
      <c r="V35" s="35"/>
      <c r="W35" s="35"/>
      <c r="X35" s="35"/>
      <c r="Y35" s="35"/>
    </row>
    <row r="36" spans="1:25" ht="17.25">
      <c r="A36" t="s">
        <v>47</v>
      </c>
      <c r="E36" s="11" t="s">
        <v>13</v>
      </c>
      <c r="F36" s="8">
        <f>F33+F34</f>
        <v>779183</v>
      </c>
      <c r="J36" s="16">
        <f>J33-J35</f>
        <v>781154.05121034873</v>
      </c>
      <c r="K36" s="34" t="s">
        <v>108</v>
      </c>
      <c r="L36" s="34"/>
      <c r="M36" s="34"/>
      <c r="N36" t="s">
        <v>163</v>
      </c>
      <c r="Q36" s="35">
        <v>38179</v>
      </c>
      <c r="R36" s="35"/>
      <c r="S36" s="35"/>
      <c r="T36" s="35" t="s">
        <v>98</v>
      </c>
      <c r="U36" s="35"/>
      <c r="V36" s="35"/>
      <c r="W36" s="35"/>
      <c r="X36" s="35">
        <v>38179</v>
      </c>
      <c r="Y36" s="35"/>
    </row>
    <row r="37" spans="1:25">
      <c r="A37" t="s">
        <v>110</v>
      </c>
      <c r="F37" s="37">
        <f>F36/F11</f>
        <v>5.2188631457906358E-2</v>
      </c>
      <c r="J37" s="37">
        <f>J36/J11</f>
        <v>5.261882292545051E-2</v>
      </c>
      <c r="K37" s="36" t="s">
        <v>109</v>
      </c>
      <c r="L37" s="34"/>
      <c r="M37" s="34"/>
      <c r="O37" t="s">
        <v>164</v>
      </c>
      <c r="Q37" s="35"/>
      <c r="R37" s="35">
        <v>38179</v>
      </c>
      <c r="S37" s="35"/>
      <c r="T37" s="35" t="s">
        <v>99</v>
      </c>
      <c r="U37" s="35"/>
      <c r="V37" s="35"/>
      <c r="W37" s="35"/>
      <c r="X37" s="35"/>
      <c r="Y37" s="35">
        <v>38179</v>
      </c>
    </row>
    <row r="38" spans="1:25" ht="17.25">
      <c r="A38" t="s">
        <v>49</v>
      </c>
      <c r="D38" s="32" t="s">
        <v>50</v>
      </c>
      <c r="F38" s="25">
        <f>SUM(F33-J45)*0.09</f>
        <v>16682.579999999998</v>
      </c>
      <c r="G38" s="23" t="s">
        <v>51</v>
      </c>
      <c r="J38" s="13">
        <f>-F38</f>
        <v>-16682.579999999998</v>
      </c>
      <c r="K38" s="34"/>
      <c r="L38" s="34"/>
      <c r="M38" s="34"/>
      <c r="Q38" s="35"/>
      <c r="R38" s="35"/>
      <c r="S38" s="35"/>
      <c r="T38" s="35"/>
      <c r="U38" s="35"/>
      <c r="V38" s="35"/>
      <c r="W38" s="35"/>
    </row>
    <row r="39" spans="1:25" ht="17.25">
      <c r="A39" t="s">
        <v>52</v>
      </c>
      <c r="F39" s="13">
        <v>598316</v>
      </c>
      <c r="G39" s="23" t="s">
        <v>53</v>
      </c>
      <c r="I39" t="s">
        <v>54</v>
      </c>
      <c r="J39" s="8">
        <f>J36+J38</f>
        <v>764471.47121034877</v>
      </c>
      <c r="K39" s="34" t="s">
        <v>105</v>
      </c>
      <c r="L39" s="34"/>
      <c r="M39" s="34"/>
      <c r="N39" t="s">
        <v>103</v>
      </c>
      <c r="Q39" s="35"/>
      <c r="R39" s="35"/>
      <c r="S39" s="35"/>
      <c r="T39" s="35"/>
      <c r="U39" s="35"/>
      <c r="V39" s="35"/>
      <c r="W39" s="35"/>
    </row>
    <row r="40" spans="1:25" ht="17.25">
      <c r="A40" t="s">
        <v>55</v>
      </c>
      <c r="F40" s="17">
        <f>F33-F38-F39</f>
        <v>168679.42000000004</v>
      </c>
      <c r="G40" t="s">
        <v>56</v>
      </c>
      <c r="I40" t="s">
        <v>57</v>
      </c>
      <c r="J40" s="29">
        <f>0.5*J39</f>
        <v>382235.73560517438</v>
      </c>
      <c r="Q40" s="35"/>
      <c r="R40" s="35"/>
      <c r="S40" s="35"/>
      <c r="T40" s="35"/>
      <c r="U40" s="35"/>
      <c r="V40" s="35"/>
      <c r="W40" s="35"/>
    </row>
    <row r="41" spans="1:25">
      <c r="H41" t="s">
        <v>58</v>
      </c>
      <c r="I41" t="s">
        <v>59</v>
      </c>
      <c r="J41" s="30">
        <f>0.04*J11</f>
        <v>593821</v>
      </c>
      <c r="Q41" s="10"/>
      <c r="R41" s="10"/>
      <c r="S41" s="10"/>
      <c r="T41" s="10"/>
      <c r="U41" s="10"/>
      <c r="V41" s="10"/>
      <c r="W41" s="10"/>
    </row>
    <row r="42" spans="1:25">
      <c r="F42" t="s">
        <v>13</v>
      </c>
      <c r="I42" s="31" t="s">
        <v>60</v>
      </c>
      <c r="Q42" s="10"/>
      <c r="R42" s="10"/>
      <c r="S42" s="10"/>
      <c r="T42" s="10"/>
      <c r="U42" s="10"/>
      <c r="V42" s="10"/>
      <c r="W42" s="10"/>
    </row>
    <row r="43" spans="1:25" ht="17.25">
      <c r="I43" s="32" t="s">
        <v>61</v>
      </c>
      <c r="J43" s="8">
        <f>J35</f>
        <v>4495</v>
      </c>
      <c r="Q43" s="10"/>
      <c r="R43" s="10"/>
      <c r="S43" s="10"/>
      <c r="T43" s="10"/>
      <c r="U43" s="10"/>
      <c r="V43" s="10"/>
      <c r="W43" s="10"/>
    </row>
    <row r="44" spans="1:25">
      <c r="I44" s="32" t="s">
        <v>62</v>
      </c>
      <c r="Q44" s="10"/>
      <c r="R44" s="10"/>
      <c r="S44" s="10"/>
      <c r="T44" s="10"/>
      <c r="U44" s="10"/>
      <c r="V44" s="10"/>
      <c r="W44" s="10"/>
    </row>
    <row r="45" spans="1:25" ht="17.25">
      <c r="I45" s="32" t="s">
        <v>63</v>
      </c>
      <c r="J45" s="22">
        <f>J41+J43</f>
        <v>598316</v>
      </c>
      <c r="Q45" s="10"/>
      <c r="R45" s="10"/>
      <c r="S45" s="10"/>
      <c r="T45" s="10"/>
      <c r="U45" s="10"/>
      <c r="V45" s="10"/>
      <c r="W45" s="10"/>
    </row>
    <row r="47" spans="1:25">
      <c r="G47" s="1" t="s">
        <v>39</v>
      </c>
    </row>
    <row r="48" spans="1:25">
      <c r="F48" s="5" t="s">
        <v>74</v>
      </c>
      <c r="G48" s="2" t="s">
        <v>42</v>
      </c>
      <c r="H48" s="2" t="s">
        <v>43</v>
      </c>
      <c r="I48" s="2" t="s">
        <v>44</v>
      </c>
    </row>
    <row r="49" spans="6:11">
      <c r="F49" s="2" t="s">
        <v>46</v>
      </c>
      <c r="J49" t="s">
        <v>75</v>
      </c>
      <c r="K49" t="s">
        <v>76</v>
      </c>
    </row>
    <row r="50" spans="6:11">
      <c r="F50" s="32" t="s">
        <v>72</v>
      </c>
      <c r="G50" s="10">
        <v>1247538</v>
      </c>
      <c r="H50" s="10">
        <f>1668269-H51</f>
        <v>1655088.91</v>
      </c>
      <c r="I50" s="11">
        <f>G50+H50</f>
        <v>2902626.91</v>
      </c>
      <c r="J50">
        <f>I50/I52</f>
        <v>0.96667068859578287</v>
      </c>
      <c r="K50" s="21">
        <f>K52*J50</f>
        <v>188517.21767788377</v>
      </c>
    </row>
    <row r="51" spans="6:11" ht="17.25">
      <c r="F51" s="32" t="s">
        <v>71</v>
      </c>
      <c r="G51" s="8">
        <f>G52-G50</f>
        <v>86898</v>
      </c>
      <c r="H51" s="13">
        <f>-9204.04+5365.22+2445+518.39+5885+1009.4+807.18+6000+353.94</f>
        <v>13180.09</v>
      </c>
      <c r="I51" s="8">
        <f>G51+H51</f>
        <v>100078.09</v>
      </c>
      <c r="J51" s="26">
        <f>I51/I52</f>
        <v>3.3329311404217195E-2</v>
      </c>
      <c r="K51" s="13">
        <f>K52*J51</f>
        <v>6499.7823221162243</v>
      </c>
    </row>
    <row r="52" spans="6:11" ht="17.25">
      <c r="F52" t="s">
        <v>48</v>
      </c>
      <c r="G52" s="11">
        <v>1334436</v>
      </c>
      <c r="H52" s="16">
        <f>H50+H51</f>
        <v>1668269</v>
      </c>
      <c r="I52" s="8">
        <f>I50+I51</f>
        <v>3002705</v>
      </c>
      <c r="J52" s="27">
        <f>J50+J51</f>
        <v>1</v>
      </c>
      <c r="K52" s="22">
        <f>L29</f>
        <v>195017</v>
      </c>
    </row>
    <row r="53" spans="6:11">
      <c r="G53" t="s">
        <v>13</v>
      </c>
      <c r="H53" t="s">
        <v>13</v>
      </c>
    </row>
    <row r="54" spans="6:11" ht="17.25">
      <c r="G54" s="8">
        <f>G52</f>
        <v>1334436</v>
      </c>
      <c r="H54" s="28">
        <f>H52</f>
        <v>1668269</v>
      </c>
      <c r="I54" s="8">
        <f>G54+H54</f>
        <v>3002705</v>
      </c>
    </row>
    <row r="55" spans="6:11">
      <c r="G55" t="s">
        <v>13</v>
      </c>
      <c r="H55" t="s">
        <v>13</v>
      </c>
    </row>
  </sheetData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topLeftCell="A45" workbookViewId="0">
      <selection activeCell="H8" sqref="H8"/>
    </sheetView>
  </sheetViews>
  <sheetFormatPr defaultRowHeight="15"/>
  <cols>
    <col min="1" max="1" width="28.5703125" bestFit="1" customWidth="1"/>
    <col min="2" max="2" width="13.28515625" bestFit="1" customWidth="1"/>
    <col min="3" max="3" width="11.5703125" bestFit="1" customWidth="1"/>
    <col min="4" max="4" width="13.140625" bestFit="1" customWidth="1"/>
    <col min="5" max="5" width="2" customWidth="1"/>
    <col min="6" max="6" width="13.140625" bestFit="1" customWidth="1"/>
    <col min="7" max="7" width="11.5703125" bestFit="1" customWidth="1"/>
    <col min="8" max="8" width="7.140625" customWidth="1"/>
    <col min="9" max="9" width="12" bestFit="1" customWidth="1"/>
    <col min="11" max="11" width="13.28515625" bestFit="1" customWidth="1"/>
    <col min="12" max="13" width="12.28515625" bestFit="1" customWidth="1"/>
  </cols>
  <sheetData>
    <row r="1" spans="1:13">
      <c r="A1" s="38" t="s">
        <v>141</v>
      </c>
      <c r="B1" s="38"/>
      <c r="C1" s="38"/>
    </row>
    <row r="2" spans="1:13">
      <c r="A2" s="38" t="s">
        <v>114</v>
      </c>
      <c r="B2" s="38"/>
      <c r="C2" s="38"/>
      <c r="K2" s="40" t="s">
        <v>116</v>
      </c>
      <c r="L2" s="38">
        <v>2012</v>
      </c>
    </row>
    <row r="3" spans="1:13">
      <c r="A3" s="38" t="s">
        <v>115</v>
      </c>
      <c r="B3" s="39" t="s">
        <v>136</v>
      </c>
      <c r="D3" s="38" t="s">
        <v>137</v>
      </c>
      <c r="G3" s="39" t="s">
        <v>140</v>
      </c>
      <c r="K3" s="39" t="s">
        <v>138</v>
      </c>
      <c r="L3" s="39" t="s">
        <v>139</v>
      </c>
    </row>
    <row r="4" spans="1:13">
      <c r="B4" s="39" t="s">
        <v>117</v>
      </c>
      <c r="C4" s="39" t="s">
        <v>118</v>
      </c>
      <c r="D4" s="39" t="s">
        <v>119</v>
      </c>
      <c r="E4" s="39" t="s">
        <v>13</v>
      </c>
      <c r="F4" s="39" t="s">
        <v>120</v>
      </c>
      <c r="G4" s="38" t="s">
        <v>121</v>
      </c>
      <c r="H4" s="41" t="s">
        <v>122</v>
      </c>
      <c r="I4" s="39" t="s">
        <v>120</v>
      </c>
      <c r="L4" s="39" t="s">
        <v>119</v>
      </c>
      <c r="M4" s="39" t="s">
        <v>120</v>
      </c>
    </row>
    <row r="5" spans="1:13">
      <c r="A5" s="38" t="s">
        <v>123</v>
      </c>
      <c r="B5" s="24">
        <v>4500</v>
      </c>
      <c r="C5" s="24"/>
      <c r="D5" s="24">
        <v>632000</v>
      </c>
      <c r="F5" s="24">
        <v>4495</v>
      </c>
      <c r="H5" s="57" t="s">
        <v>151</v>
      </c>
      <c r="I5" s="24"/>
      <c r="K5" s="42">
        <f>B5+D5-F5+D6-F6</f>
        <v>5</v>
      </c>
    </row>
    <row r="6" spans="1:13">
      <c r="B6" s="24"/>
      <c r="C6" s="24"/>
      <c r="D6" s="24">
        <v>0</v>
      </c>
      <c r="E6" s="24"/>
      <c r="F6" s="24">
        <v>632000</v>
      </c>
      <c r="G6" s="24"/>
      <c r="H6" s="57" t="s">
        <v>126</v>
      </c>
      <c r="I6" s="24"/>
    </row>
    <row r="7" spans="1:13">
      <c r="A7" s="38" t="s">
        <v>143</v>
      </c>
      <c r="B7" s="24">
        <v>0</v>
      </c>
      <c r="C7" s="24">
        <v>0</v>
      </c>
      <c r="D7" s="24">
        <v>4495</v>
      </c>
      <c r="E7" s="24"/>
      <c r="F7" s="24">
        <v>0</v>
      </c>
      <c r="G7" s="24">
        <v>0</v>
      </c>
      <c r="H7" s="43" t="s">
        <v>156</v>
      </c>
      <c r="I7" s="24">
        <v>2000</v>
      </c>
      <c r="K7" s="58">
        <f>B7+B8-C7-C8+D7+D8-F7-F8+G7+G8-I7-I8</f>
        <v>2495</v>
      </c>
    </row>
    <row r="8" spans="1:13">
      <c r="A8" t="s">
        <v>144</v>
      </c>
      <c r="B8" s="24">
        <v>0</v>
      </c>
      <c r="C8" s="24"/>
      <c r="D8" s="24"/>
      <c r="E8" s="24"/>
      <c r="F8" s="24"/>
      <c r="G8" s="24"/>
      <c r="H8" s="24"/>
      <c r="I8" s="24"/>
    </row>
    <row r="9" spans="1:13">
      <c r="A9" s="38" t="s">
        <v>142</v>
      </c>
      <c r="B9" s="24" t="s">
        <v>13</v>
      </c>
      <c r="C9" s="44" t="s">
        <v>13</v>
      </c>
      <c r="D9" s="24"/>
      <c r="E9" s="24"/>
      <c r="F9" s="24" t="s">
        <v>148</v>
      </c>
      <c r="G9" s="24"/>
      <c r="H9" s="24"/>
      <c r="I9" s="24"/>
    </row>
    <row r="10" spans="1:13" ht="16.5">
      <c r="B10" s="24"/>
      <c r="C10" s="24"/>
      <c r="D10" s="24"/>
      <c r="E10" s="24"/>
      <c r="F10" s="24"/>
      <c r="G10" s="24"/>
      <c r="H10" s="24"/>
      <c r="I10" s="24"/>
      <c r="K10" s="45">
        <f>SUM(K5:K7)</f>
        <v>2500</v>
      </c>
    </row>
    <row r="11" spans="1:13">
      <c r="B11" s="24"/>
      <c r="C11" s="24"/>
      <c r="D11" s="24"/>
      <c r="E11" s="24"/>
      <c r="F11" s="24"/>
      <c r="G11" s="24"/>
      <c r="H11" s="44" t="s">
        <v>13</v>
      </c>
      <c r="I11" s="24">
        <v>0</v>
      </c>
    </row>
    <row r="12" spans="1:13">
      <c r="A12" s="48" t="s">
        <v>145</v>
      </c>
      <c r="B12" s="24"/>
      <c r="C12" s="24">
        <v>0</v>
      </c>
      <c r="D12" s="24">
        <v>0</v>
      </c>
      <c r="E12" s="44"/>
      <c r="F12" s="24">
        <v>0</v>
      </c>
      <c r="G12" s="24">
        <v>0</v>
      </c>
      <c r="H12" s="46" t="s">
        <v>124</v>
      </c>
      <c r="I12" s="24">
        <v>0</v>
      </c>
      <c r="K12" s="9">
        <f>C12+C13-D12-D13+F12+F13-G12-G13+I12+I13</f>
        <v>0</v>
      </c>
    </row>
    <row r="13" spans="1:13">
      <c r="A13" s="48" t="s">
        <v>146</v>
      </c>
      <c r="B13" s="24"/>
      <c r="C13" s="24">
        <v>2000</v>
      </c>
      <c r="D13" s="24">
        <v>0</v>
      </c>
      <c r="E13" s="24"/>
      <c r="F13" s="24"/>
      <c r="G13" s="24">
        <v>2000</v>
      </c>
      <c r="H13" s="57" t="s">
        <v>156</v>
      </c>
      <c r="I13" s="24"/>
    </row>
    <row r="14" spans="1:13">
      <c r="A14" s="38" t="s">
        <v>147</v>
      </c>
      <c r="B14" s="24"/>
      <c r="C14" s="24"/>
      <c r="D14" s="24">
        <v>0</v>
      </c>
      <c r="E14" s="24"/>
      <c r="F14" s="24"/>
      <c r="G14" s="44" t="s">
        <v>13</v>
      </c>
      <c r="H14" s="59" t="s">
        <v>13</v>
      </c>
      <c r="I14" s="24">
        <v>0</v>
      </c>
      <c r="K14" s="9">
        <f>-SUM(D14-I14-I15)</f>
        <v>0</v>
      </c>
    </row>
    <row r="15" spans="1:13">
      <c r="B15" s="24"/>
      <c r="C15" s="24"/>
      <c r="D15" s="24"/>
      <c r="E15" s="24"/>
      <c r="F15" s="24"/>
      <c r="G15" s="24"/>
      <c r="H15" s="43"/>
      <c r="I15" s="24">
        <v>0</v>
      </c>
    </row>
    <row r="16" spans="1:13">
      <c r="A16" s="38" t="s">
        <v>127</v>
      </c>
      <c r="B16" s="24"/>
      <c r="C16" s="24">
        <v>2500</v>
      </c>
      <c r="D16" s="24"/>
      <c r="E16" s="24"/>
      <c r="F16" s="24"/>
      <c r="G16" s="24"/>
      <c r="H16" s="24"/>
      <c r="I16" s="24"/>
      <c r="K16" s="47">
        <v>2500</v>
      </c>
    </row>
    <row r="17" spans="1:13">
      <c r="B17" s="24"/>
      <c r="C17" s="24"/>
      <c r="D17" s="24"/>
      <c r="E17" s="24"/>
      <c r="F17" s="24"/>
      <c r="G17" s="24"/>
      <c r="H17" s="24"/>
      <c r="I17" s="24"/>
    </row>
    <row r="18" spans="1:13" ht="16.5">
      <c r="A18" s="48" t="s">
        <v>128</v>
      </c>
      <c r="B18" s="44" t="s">
        <v>129</v>
      </c>
      <c r="C18" s="49">
        <v>0</v>
      </c>
      <c r="D18" s="44">
        <v>632000</v>
      </c>
      <c r="E18" s="24"/>
      <c r="F18" s="24">
        <v>0</v>
      </c>
      <c r="G18" s="44">
        <v>0</v>
      </c>
      <c r="H18" s="62" t="s">
        <v>150</v>
      </c>
      <c r="I18" s="24">
        <v>38179</v>
      </c>
      <c r="J18" t="s">
        <v>155</v>
      </c>
      <c r="K18" s="55">
        <f>-D18+F18-G18+I18+I19</f>
        <v>0</v>
      </c>
    </row>
    <row r="19" spans="1:13" ht="16.5">
      <c r="B19" s="50">
        <f>SUM(B5:B18)</f>
        <v>4500</v>
      </c>
      <c r="C19" s="50">
        <f>SUM(C5:C18)</f>
        <v>4500</v>
      </c>
      <c r="D19" s="24"/>
      <c r="E19" s="24"/>
      <c r="F19" s="24"/>
      <c r="G19" s="24">
        <v>0</v>
      </c>
      <c r="H19" s="43" t="s">
        <v>154</v>
      </c>
      <c r="I19" s="24">
        <v>593821</v>
      </c>
      <c r="J19" s="24" t="s">
        <v>155</v>
      </c>
      <c r="K19" s="51">
        <f>SUM(K11:K18)</f>
        <v>2500</v>
      </c>
    </row>
    <row r="20" spans="1:13">
      <c r="D20" s="24"/>
      <c r="E20" s="24"/>
      <c r="F20" s="24"/>
      <c r="G20" s="24"/>
      <c r="H20" s="24"/>
      <c r="I20" s="24"/>
      <c r="J20" s="24"/>
      <c r="K20" s="24"/>
    </row>
    <row r="21" spans="1:13">
      <c r="A21" s="38" t="s">
        <v>89</v>
      </c>
      <c r="D21" s="24"/>
      <c r="E21" s="24" t="s">
        <v>13</v>
      </c>
      <c r="F21" s="24">
        <v>4495</v>
      </c>
      <c r="G21" s="60">
        <v>38179</v>
      </c>
      <c r="H21" s="62" t="s">
        <v>152</v>
      </c>
      <c r="I21" s="24"/>
      <c r="J21" s="24"/>
      <c r="K21" s="24"/>
      <c r="L21" s="24"/>
      <c r="M21" s="24">
        <f>SUM(F21+F22-G21)</f>
        <v>598316</v>
      </c>
    </row>
    <row r="22" spans="1:13">
      <c r="D22" s="24"/>
      <c r="E22" s="24"/>
      <c r="F22" s="24">
        <v>632000</v>
      </c>
      <c r="G22" s="24"/>
      <c r="H22" s="43" t="s">
        <v>125</v>
      </c>
      <c r="I22" s="24"/>
      <c r="J22" s="24"/>
      <c r="K22" s="24"/>
      <c r="L22" s="24"/>
      <c r="M22" s="24"/>
    </row>
    <row r="23" spans="1:13">
      <c r="A23" s="38" t="s">
        <v>131</v>
      </c>
      <c r="D23" s="24">
        <v>25</v>
      </c>
      <c r="E23" s="24"/>
      <c r="F23" s="24"/>
      <c r="G23" s="24"/>
      <c r="H23" s="57" t="s">
        <v>130</v>
      </c>
      <c r="I23" s="24"/>
      <c r="J23" s="24"/>
      <c r="K23" s="24"/>
      <c r="L23" s="24">
        <f>D23</f>
        <v>25</v>
      </c>
      <c r="M23" s="24"/>
    </row>
    <row r="24" spans="1:13"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>
      <c r="A25" s="38" t="s">
        <v>132</v>
      </c>
      <c r="D25" s="24">
        <v>4450</v>
      </c>
      <c r="E25" s="24"/>
      <c r="F25" s="24"/>
      <c r="G25" s="24"/>
      <c r="H25" s="57" t="s">
        <v>130</v>
      </c>
      <c r="I25" s="24"/>
      <c r="J25" s="24"/>
      <c r="K25" s="24"/>
      <c r="L25" s="24">
        <f>D25</f>
        <v>4450</v>
      </c>
      <c r="M25" s="24"/>
    </row>
    <row r="26" spans="1:13">
      <c r="A26" s="38"/>
      <c r="D26" s="44" t="s">
        <v>13</v>
      </c>
      <c r="E26" s="24"/>
      <c r="F26" s="24"/>
      <c r="G26" s="24" t="s">
        <v>13</v>
      </c>
      <c r="H26" s="24"/>
      <c r="I26" s="24"/>
      <c r="J26" s="24"/>
      <c r="K26" s="24"/>
    </row>
    <row r="27" spans="1:13">
      <c r="A27" s="38" t="s">
        <v>133</v>
      </c>
      <c r="D27" s="24">
        <v>20</v>
      </c>
      <c r="H27" s="23" t="s">
        <v>149</v>
      </c>
      <c r="L27" s="52">
        <f>D27</f>
        <v>20</v>
      </c>
    </row>
    <row r="28" spans="1:13">
      <c r="A28" s="38"/>
    </row>
    <row r="29" spans="1:13" ht="17.25">
      <c r="A29" s="38" t="s">
        <v>134</v>
      </c>
      <c r="G29" s="49">
        <v>593821</v>
      </c>
      <c r="H29" s="53" t="s">
        <v>153</v>
      </c>
      <c r="I29" s="53" t="s">
        <v>129</v>
      </c>
      <c r="L29" s="61">
        <f>M21-SUM(L23:L27)</f>
        <v>593821</v>
      </c>
      <c r="M29" s="53" t="s">
        <v>129</v>
      </c>
    </row>
    <row r="30" spans="1:13">
      <c r="D30" s="53" t="s">
        <v>135</v>
      </c>
      <c r="F30" s="53" t="s">
        <v>135</v>
      </c>
    </row>
    <row r="31" spans="1:13" ht="16.5">
      <c r="D31" s="50">
        <f>SUM(D5:D27)</f>
        <v>1272990</v>
      </c>
      <c r="E31" s="54"/>
      <c r="F31" s="50">
        <f>SUM(F5:F27)</f>
        <v>1272990</v>
      </c>
      <c r="G31" s="55">
        <f>SUM(G5:G29)</f>
        <v>634000</v>
      </c>
      <c r="I31" s="50">
        <f>SUM(I5:I29)</f>
        <v>634000</v>
      </c>
      <c r="L31" s="51">
        <f>SUM(L21:L29)</f>
        <v>598316</v>
      </c>
      <c r="M31" s="51">
        <f>SUM(M21:M29)</f>
        <v>598316</v>
      </c>
    </row>
    <row r="32" spans="1:13">
      <c r="I32" s="53" t="s">
        <v>13</v>
      </c>
    </row>
    <row r="33" spans="4:8">
      <c r="D33" s="9" t="s">
        <v>13</v>
      </c>
      <c r="H33" t="s">
        <v>165</v>
      </c>
    </row>
    <row r="35" spans="4:8">
      <c r="D35" s="56" t="s">
        <v>13</v>
      </c>
      <c r="H35" t="s">
        <v>166</v>
      </c>
    </row>
  </sheetData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 Comm. Comps&amp;JEs</vt:lpstr>
      <vt:lpstr>DISC WTB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K. Dwyer, CPA</dc:creator>
  <cp:lastModifiedBy>Edward K Dwyer CPA</cp:lastModifiedBy>
  <cp:lastPrinted>2013-12-11T06:44:10Z</cp:lastPrinted>
  <dcterms:created xsi:type="dcterms:W3CDTF">2013-02-26T15:30:13Z</dcterms:created>
  <dcterms:modified xsi:type="dcterms:W3CDTF">2013-12-11T06:53:01Z</dcterms:modified>
</cp:coreProperties>
</file>